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ltuv\Desktop\Trabajo\Herrameintas, Tools y Similares\Banco de Tools de TD\"/>
    </mc:Choice>
  </mc:AlternateContent>
  <xr:revisionPtr revIDLastSave="0" documentId="13_ncr:1_{FC290253-370F-4A2B-872E-18ABC0D1CA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imulador Financiero para la IA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3" l="1"/>
  <c r="G9" i="3" s="1"/>
  <c r="H9" i="3" s="1"/>
  <c r="I9" i="3" s="1"/>
  <c r="F8" i="3"/>
  <c r="G8" i="3" s="1"/>
  <c r="H8" i="3" s="1"/>
  <c r="I8" i="3" s="1"/>
  <c r="E18" i="3" l="1"/>
  <c r="E21" i="3" l="1"/>
  <c r="E19" i="3"/>
  <c r="E22" i="3"/>
  <c r="E25" i="3"/>
  <c r="F7" i="3" s="1"/>
  <c r="F18" i="3" s="1"/>
  <c r="E20" i="3"/>
  <c r="E24" i="3"/>
  <c r="F46" i="3" l="1"/>
  <c r="F25" i="3"/>
  <c r="G7" i="3" s="1"/>
  <c r="G18" i="3" s="1"/>
  <c r="F19" i="3"/>
  <c r="F21" i="3"/>
  <c r="F20" i="3"/>
  <c r="F26" i="3" s="1"/>
  <c r="F22" i="3"/>
  <c r="E27" i="3"/>
  <c r="E26" i="3"/>
  <c r="F24" i="3"/>
  <c r="G46" i="3" s="1"/>
  <c r="E47" i="3" l="1"/>
  <c r="E48" i="3" s="1"/>
  <c r="E49" i="3" s="1"/>
  <c r="F38" i="3"/>
  <c r="E41" i="3"/>
  <c r="E38" i="3"/>
  <c r="E30" i="3"/>
  <c r="E31" i="3" s="1"/>
  <c r="G19" i="3"/>
  <c r="G21" i="3"/>
  <c r="G20" i="3"/>
  <c r="G26" i="3" s="1"/>
  <c r="G22" i="3"/>
  <c r="F27" i="3"/>
  <c r="F41" i="3" s="1"/>
  <c r="G25" i="3"/>
  <c r="H7" i="3" s="1"/>
  <c r="H18" i="3" s="1"/>
  <c r="G24" i="3"/>
  <c r="H46" i="3" s="1"/>
  <c r="F47" i="3" l="1"/>
  <c r="G38" i="3"/>
  <c r="H19" i="3"/>
  <c r="H21" i="3"/>
  <c r="H20" i="3"/>
  <c r="H26" i="3" s="1"/>
  <c r="H22" i="3"/>
  <c r="E33" i="3"/>
  <c r="H25" i="3"/>
  <c r="I7" i="3" s="1"/>
  <c r="I18" i="3" s="1"/>
  <c r="H24" i="3"/>
  <c r="I46" i="3" s="1"/>
  <c r="K46" i="3" s="1"/>
  <c r="G27" i="3"/>
  <c r="G30" i="3" s="1"/>
  <c r="G33" i="3" s="1"/>
  <c r="G47" i="3" l="1"/>
  <c r="G48" i="3" s="1"/>
  <c r="G49" i="3" s="1"/>
  <c r="F48" i="3"/>
  <c r="F49" i="3" s="1"/>
  <c r="G41" i="3"/>
  <c r="H38" i="3"/>
  <c r="G39" i="3"/>
  <c r="G40" i="3"/>
  <c r="I21" i="3"/>
  <c r="K21" i="3" s="1"/>
  <c r="I20" i="3"/>
  <c r="I26" i="3" s="1"/>
  <c r="I19" i="3"/>
  <c r="I22" i="3"/>
  <c r="E34" i="3"/>
  <c r="E36" i="3" s="1"/>
  <c r="E35" i="3"/>
  <c r="I25" i="3"/>
  <c r="K25" i="3" s="1"/>
  <c r="I24" i="3"/>
  <c r="K24" i="3" s="1"/>
  <c r="H27" i="3"/>
  <c r="H30" i="3" s="1"/>
  <c r="H33" i="3" s="1"/>
  <c r="K18" i="3"/>
  <c r="G35" i="3"/>
  <c r="F30" i="3"/>
  <c r="H47" i="3" l="1"/>
  <c r="H48" i="3" s="1"/>
  <c r="H49" i="3" s="1"/>
  <c r="I38" i="3"/>
  <c r="H41" i="3"/>
  <c r="E39" i="3"/>
  <c r="E40" i="3"/>
  <c r="E42" i="3"/>
  <c r="E43" i="3"/>
  <c r="G42" i="3"/>
  <c r="G43" i="3"/>
  <c r="F31" i="3"/>
  <c r="G31" i="3" s="1"/>
  <c r="H31" i="3" s="1"/>
  <c r="K19" i="3"/>
  <c r="I27" i="3"/>
  <c r="I41" i="3" s="1"/>
  <c r="K26" i="3"/>
  <c r="K20" i="3"/>
  <c r="F33" i="3"/>
  <c r="H35" i="3"/>
  <c r="I47" i="3" l="1"/>
  <c r="K38" i="3"/>
  <c r="H39" i="3"/>
  <c r="H40" i="3"/>
  <c r="H42" i="3"/>
  <c r="H43" i="3"/>
  <c r="F34" i="3"/>
  <c r="F36" i="3" s="1"/>
  <c r="F35" i="3"/>
  <c r="I30" i="3"/>
  <c r="I31" i="3" s="1"/>
  <c r="K22" i="3"/>
  <c r="K27" i="3"/>
  <c r="I48" i="3" l="1"/>
  <c r="I49" i="3" s="1"/>
  <c r="K47" i="3"/>
  <c r="K48" i="3" s="1"/>
  <c r="K49" i="3" s="1"/>
  <c r="K41" i="3"/>
  <c r="F42" i="3"/>
  <c r="F43" i="3"/>
  <c r="F39" i="3"/>
  <c r="F40" i="3"/>
  <c r="G34" i="3"/>
  <c r="G36" i="3" s="1"/>
  <c r="K30" i="3"/>
  <c r="I33" i="3"/>
  <c r="H34" i="3" l="1"/>
  <c r="H36" i="3" s="1"/>
  <c r="I35" i="3"/>
  <c r="K33" i="3"/>
  <c r="K35" i="3" s="1"/>
  <c r="I42" i="3" l="1"/>
  <c r="I43" i="3"/>
  <c r="K43" i="3" s="1"/>
  <c r="I39" i="3"/>
  <c r="I40" i="3"/>
  <c r="K40" i="3" s="1"/>
  <c r="K39" i="3"/>
  <c r="K42" i="3"/>
  <c r="I34" i="3"/>
  <c r="I36" i="3" l="1"/>
</calcChain>
</file>

<file path=xl/sharedStrings.xml><?xml version="1.0" encoding="utf-8"?>
<sst xmlns="http://schemas.openxmlformats.org/spreadsheetml/2006/main" count="61" uniqueCount="44">
  <si>
    <t>Año 1</t>
  </si>
  <si>
    <t>Año 2</t>
  </si>
  <si>
    <t>Año 3</t>
  </si>
  <si>
    <t>Año 4</t>
  </si>
  <si>
    <t>Año 5</t>
  </si>
  <si>
    <t xml:space="preserve">Totales </t>
  </si>
  <si>
    <t>Resultados:</t>
  </si>
  <si>
    <t>Cálculos:</t>
  </si>
  <si>
    <t>Nuevo Margen Bruto por Incremento en Ventas + Reducción de Costos</t>
  </si>
  <si>
    <t>Mejora de Magen Bruto vs. Actual</t>
  </si>
  <si>
    <t>Mejora de Magen Operativo vs. Actual</t>
  </si>
  <si>
    <t>Nuevo Margen Operativo por Incremento en Ventas + Reducción de Costos + Reducción de Gastos</t>
  </si>
  <si>
    <r>
      <rPr>
        <b/>
        <i/>
        <sz val="14"/>
        <color theme="0"/>
        <rFont val="Arial"/>
        <family val="2"/>
      </rPr>
      <t xml:space="preserve">Introducir los Valores Resaltados en </t>
    </r>
    <r>
      <rPr>
        <b/>
        <i/>
        <sz val="14"/>
        <color rgb="FF80FF21"/>
        <rFont val="Arial"/>
        <family val="2"/>
      </rPr>
      <t>Verde</t>
    </r>
  </si>
  <si>
    <t>Mejora del Margen Operativo en Valores Absolutos</t>
  </si>
  <si>
    <t>% de las Ventas a Invertir en Iniciativas de Inteligencia Artificial</t>
  </si>
  <si>
    <t>Aumento % Estimado en las Ventas a Consecuencia de Iniciativas de Inteligencia Artificial</t>
  </si>
  <si>
    <t>Reducción % Estimada en Costos  a Consecuencia de Iniciativas de Inteligencia Artificial</t>
  </si>
  <si>
    <t>Reducción % Estimada en Gastos Operativos  a Consecuencia de Iniciativas de Inteligencia Artificial</t>
  </si>
  <si>
    <t>Inversión en Inteligencia Artificial (como % de las Ventas)</t>
  </si>
  <si>
    <t>Aportes (Aumento Ventas + Reducción Costos y Gastos) Año por Iniciativas de Inteligencia Artificial</t>
  </si>
  <si>
    <t>Aportes (Aumento Ventas + Reducción Costos y Gastos) Acumulado por Iniciativas de Inteligencia Artificial</t>
  </si>
  <si>
    <t>Retorno (Aportes - Inversión) Año por Iniciativas de Inteligencia Artificial</t>
  </si>
  <si>
    <t>Retorno (Aportes - Inversión) Acumulado por Iniciativas de Inteligencia Artificial</t>
  </si>
  <si>
    <t xml:space="preserve">Retorno Sobre la Inversión (ROI) Año por Iniciativas de Inteligencia Artificial </t>
  </si>
  <si>
    <t xml:space="preserve">Retorno Sobre la Inversión (ROI) Acumulado por Iniciativas de Inteligencia Artificial </t>
  </si>
  <si>
    <t>Versión 2.0 Original de Néstor Altuve © 2025</t>
  </si>
  <si>
    <t>Estimación de Incrementos en las Ventas como Resultado de Incorporar la Inteligencia Artificial</t>
  </si>
  <si>
    <t>Reducción de Costos como Resultado de Incorporar la Inteligencia Artificial</t>
  </si>
  <si>
    <t>Reducción de Gastos como Resultado de Incorporar la Inteligencia Artificial</t>
  </si>
  <si>
    <r>
      <t>Ventas Anuales</t>
    </r>
    <r>
      <rPr>
        <b/>
        <i/>
        <sz val="11"/>
        <rFont val="Arial"/>
        <family val="2"/>
      </rPr>
      <t xml:space="preserve"> (Año 1: Actual - Años 2 al 5: Proyectado)</t>
    </r>
  </si>
  <si>
    <r>
      <t xml:space="preserve">Margen Bruto Actual </t>
    </r>
    <r>
      <rPr>
        <b/>
        <i/>
        <sz val="11"/>
        <rFont val="Arial"/>
        <family val="2"/>
      </rPr>
      <t>(Año 1: Actual - Años 2 al 5: Proyectado)</t>
    </r>
  </si>
  <si>
    <r>
      <t xml:space="preserve">Margen Operativo Actual </t>
    </r>
    <r>
      <rPr>
        <b/>
        <i/>
        <sz val="11"/>
        <rFont val="Arial"/>
        <family val="2"/>
      </rPr>
      <t>(Año 1: Actual - Años 2 al 5: Proyectado)</t>
    </r>
  </si>
  <si>
    <r>
      <t xml:space="preserve">Ventas Anuales </t>
    </r>
    <r>
      <rPr>
        <i/>
        <sz val="11"/>
        <rFont val="Arial"/>
        <family val="2"/>
      </rPr>
      <t>(Año 1: Actual - Años 2 al 5: Actual Más Mejoras por Incorporación de Proyectos de Inteligencia Artificial)</t>
    </r>
  </si>
  <si>
    <r>
      <t xml:space="preserve">Margen Bruto </t>
    </r>
    <r>
      <rPr>
        <i/>
        <sz val="11"/>
        <rFont val="Arial"/>
        <family val="2"/>
      </rPr>
      <t>(Año 1: Actual - Años 2 al 5: Actual sin Mejoras por Incorporación de Proyectos de Inteligencia Artificial)</t>
    </r>
  </si>
  <si>
    <r>
      <t xml:space="preserve">Total Costos </t>
    </r>
    <r>
      <rPr>
        <i/>
        <sz val="11"/>
        <rFont val="Arial"/>
        <family val="2"/>
      </rPr>
      <t>(Año 1: Actual - Años 2 al 5: Actual sin Mejoras por Incorporación de Proyectos de Inteligencia Artificial)</t>
    </r>
  </si>
  <si>
    <r>
      <t>Margen Operativo</t>
    </r>
    <r>
      <rPr>
        <i/>
        <sz val="11"/>
        <rFont val="Arial"/>
        <family val="2"/>
      </rPr>
      <t xml:space="preserve"> (Año 1: Actual - Años 2 al 5: Actual sin Mejoras por Incorporación de Proyectos de Inteligencia Artificial)</t>
    </r>
  </si>
  <si>
    <r>
      <t xml:space="preserve">Total Gastos Operativos </t>
    </r>
    <r>
      <rPr>
        <i/>
        <sz val="11"/>
        <rFont val="Arial"/>
        <family val="2"/>
      </rPr>
      <t>(Año 1: Actual - Años 2 al 5: Actual sin Mejoras por Incorporación de Proyectos de Inteligencia Artificial)</t>
    </r>
  </si>
  <si>
    <t>Mejora del Margen Bruto en Valores Absolutos</t>
  </si>
  <si>
    <t>Años estimados promedio de Amortización y Depreciación de Proyectos de Inteligencia Artificial</t>
  </si>
  <si>
    <t>Amortización y Depreciación Estimada</t>
  </si>
  <si>
    <t>Resultado Neto Después de Amortización y Depreciación de Proyectos de Inteligencia Artificial</t>
  </si>
  <si>
    <t>Margen Neto Después de Amortización y Depreciación de Proyectos de Inteligencia Artificial</t>
  </si>
  <si>
    <t>Variación vs. Márgenes Operativos Originales</t>
  </si>
  <si>
    <t>Simulador Financiero del Impacto en los Márgenes de la Inteligencia Artificial en la Empresa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</si>
</sst>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_-;\-* #,##0.00_-;_-* &quot;-&quot;??_-;_-@_-"/>
    <numFmt numFmtId="165" formatCode="&quot;$&quot;#,##0_);[Red]\(&quot;$&quot;#,##0\)"/>
    <numFmt numFmtId="166" formatCode="#,##0_ ;\-#,##0\ "/>
    <numFmt numFmtId="167" formatCode="_-* #,##0_-;\-* #,##0_-;_-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b/>
      <u/>
      <sz val="11"/>
      <name val="Arial"/>
      <family val="2"/>
    </font>
    <font>
      <b/>
      <sz val="11"/>
      <color theme="0"/>
      <name val="Arial"/>
      <family val="2"/>
    </font>
    <font>
      <b/>
      <sz val="20"/>
      <color theme="0"/>
      <name val="Arial"/>
      <family val="2"/>
    </font>
    <font>
      <b/>
      <i/>
      <sz val="11"/>
      <color rgb="FF833C0C"/>
      <name val="Arial"/>
      <family val="2"/>
    </font>
    <font>
      <b/>
      <i/>
      <sz val="14"/>
      <name val="Arial"/>
      <family val="2"/>
    </font>
    <font>
      <b/>
      <i/>
      <sz val="14"/>
      <color theme="0"/>
      <name val="Arial"/>
      <family val="2"/>
    </font>
    <font>
      <b/>
      <i/>
      <sz val="14"/>
      <color rgb="FF80FF21"/>
      <name val="Arial"/>
      <family val="2"/>
    </font>
    <font>
      <i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80FF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33C0C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63">
    <xf numFmtId="0" fontId="0" fillId="0" borderId="0" xfId="0"/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4" borderId="8" xfId="0" applyFont="1" applyFill="1" applyBorder="1" applyAlignment="1">
      <alignment vertical="center"/>
    </xf>
    <xf numFmtId="0" fontId="4" fillId="4" borderId="0" xfId="0" applyFont="1" applyFill="1" applyAlignment="1">
      <alignment vertical="center"/>
    </xf>
    <xf numFmtId="0" fontId="3" fillId="4" borderId="0" xfId="0" applyFont="1" applyFill="1" applyAlignment="1">
      <alignment vertical="center"/>
    </xf>
    <xf numFmtId="0" fontId="3" fillId="4" borderId="9" xfId="0" applyFont="1" applyFill="1" applyBorder="1" applyAlignment="1">
      <alignment vertical="center"/>
    </xf>
    <xf numFmtId="10" fontId="5" fillId="4" borderId="0" xfId="1" applyNumberFormat="1" applyFont="1" applyFill="1" applyBorder="1" applyAlignment="1" applyProtection="1">
      <alignment horizontal="center" vertical="center"/>
    </xf>
    <xf numFmtId="165" fontId="3" fillId="4" borderId="0" xfId="0" applyNumberFormat="1" applyFont="1" applyFill="1" applyAlignment="1">
      <alignment vertical="center"/>
    </xf>
    <xf numFmtId="0" fontId="7" fillId="5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right" vertical="center"/>
    </xf>
    <xf numFmtId="10" fontId="5" fillId="4" borderId="4" xfId="1" applyNumberFormat="1" applyFont="1" applyFill="1" applyBorder="1" applyAlignment="1" applyProtection="1">
      <alignment horizontal="center" vertical="center"/>
    </xf>
    <xf numFmtId="165" fontId="3" fillId="2" borderId="4" xfId="0" applyNumberFormat="1" applyFont="1" applyFill="1" applyBorder="1" applyAlignment="1">
      <alignment vertical="center"/>
    </xf>
    <xf numFmtId="0" fontId="6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/>
    </xf>
    <xf numFmtId="166" fontId="3" fillId="4" borderId="3" xfId="2" applyNumberFormat="1" applyFont="1" applyFill="1" applyBorder="1" applyAlignment="1" applyProtection="1">
      <alignment vertical="center"/>
    </xf>
    <xf numFmtId="166" fontId="3" fillId="6" borderId="3" xfId="2" applyNumberFormat="1" applyFont="1" applyFill="1" applyBorder="1" applyAlignment="1" applyProtection="1">
      <alignment vertical="center"/>
    </xf>
    <xf numFmtId="166" fontId="3" fillId="4" borderId="1" xfId="2" applyNumberFormat="1" applyFont="1" applyFill="1" applyBorder="1" applyAlignment="1" applyProtection="1">
      <alignment vertical="center"/>
    </xf>
    <xf numFmtId="166" fontId="3" fillId="6" borderId="1" xfId="2" applyNumberFormat="1" applyFont="1" applyFill="1" applyBorder="1" applyAlignment="1" applyProtection="1">
      <alignment vertical="center"/>
    </xf>
    <xf numFmtId="166" fontId="3" fillId="4" borderId="0" xfId="2" applyNumberFormat="1" applyFont="1" applyFill="1" applyBorder="1" applyAlignment="1" applyProtection="1">
      <alignment vertical="center"/>
    </xf>
    <xf numFmtId="166" fontId="3" fillId="4" borderId="0" xfId="0" applyNumberFormat="1" applyFont="1" applyFill="1" applyAlignment="1">
      <alignment vertical="center"/>
    </xf>
    <xf numFmtId="0" fontId="6" fillId="4" borderId="0" xfId="0" applyFont="1" applyFill="1" applyAlignment="1">
      <alignment horizontal="left" vertical="center"/>
    </xf>
    <xf numFmtId="166" fontId="4" fillId="4" borderId="1" xfId="2" applyNumberFormat="1" applyFont="1" applyFill="1" applyBorder="1" applyAlignment="1" applyProtection="1">
      <alignment vertical="center"/>
    </xf>
    <xf numFmtId="166" fontId="4" fillId="6" borderId="1" xfId="2" applyNumberFormat="1" applyFont="1" applyFill="1" applyBorder="1" applyAlignment="1" applyProtection="1">
      <alignment vertical="center"/>
    </xf>
    <xf numFmtId="166" fontId="4" fillId="5" borderId="1" xfId="2" applyNumberFormat="1" applyFont="1" applyFill="1" applyBorder="1" applyAlignment="1" applyProtection="1">
      <alignment vertical="center"/>
    </xf>
    <xf numFmtId="166" fontId="4" fillId="4" borderId="0" xfId="2" applyNumberFormat="1" applyFont="1" applyFill="1" applyBorder="1" applyAlignment="1" applyProtection="1">
      <alignment vertical="center"/>
    </xf>
    <xf numFmtId="10" fontId="4" fillId="4" borderId="1" xfId="1" applyNumberFormat="1" applyFont="1" applyFill="1" applyBorder="1" applyAlignment="1" applyProtection="1">
      <alignment vertical="center"/>
    </xf>
    <xf numFmtId="10" fontId="4" fillId="6" borderId="1" xfId="1" applyNumberFormat="1" applyFont="1" applyFill="1" applyBorder="1" applyAlignment="1" applyProtection="1">
      <alignment vertical="center"/>
    </xf>
    <xf numFmtId="166" fontId="4" fillId="5" borderId="1" xfId="1" applyNumberFormat="1" applyFont="1" applyFill="1" applyBorder="1" applyAlignment="1" applyProtection="1">
      <alignment vertical="center"/>
    </xf>
    <xf numFmtId="10" fontId="4" fillId="4" borderId="0" xfId="1" applyNumberFormat="1" applyFont="1" applyFill="1" applyBorder="1" applyAlignment="1" applyProtection="1">
      <alignment vertical="center"/>
    </xf>
    <xf numFmtId="166" fontId="4" fillId="4" borderId="0" xfId="1" applyNumberFormat="1" applyFont="1" applyFill="1" applyBorder="1" applyAlignment="1" applyProtection="1">
      <alignment vertical="center"/>
    </xf>
    <xf numFmtId="0" fontId="3" fillId="4" borderId="10" xfId="0" applyFont="1" applyFill="1" applyBorder="1" applyAlignment="1">
      <alignment vertical="center"/>
    </xf>
    <xf numFmtId="0" fontId="4" fillId="4" borderId="11" xfId="0" applyFont="1" applyFill="1" applyBorder="1" applyAlignment="1">
      <alignment vertical="center"/>
    </xf>
    <xf numFmtId="0" fontId="3" fillId="4" borderId="11" xfId="0" applyFont="1" applyFill="1" applyBorder="1" applyAlignment="1">
      <alignment vertical="center"/>
    </xf>
    <xf numFmtId="0" fontId="3" fillId="4" borderId="12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10" fontId="5" fillId="2" borderId="4" xfId="1" applyNumberFormat="1" applyFont="1" applyFill="1" applyBorder="1" applyAlignment="1" applyProtection="1">
      <alignment horizontal="center" vertical="center"/>
      <protection locked="0"/>
    </xf>
    <xf numFmtId="3" fontId="5" fillId="2" borderId="4" xfId="0" applyNumberFormat="1" applyFont="1" applyFill="1" applyBorder="1" applyAlignment="1" applyProtection="1">
      <alignment horizontal="center" vertical="center"/>
      <protection locked="0"/>
    </xf>
    <xf numFmtId="10" fontId="5" fillId="2" borderId="4" xfId="0" applyNumberFormat="1" applyFont="1" applyFill="1" applyBorder="1" applyAlignment="1" applyProtection="1">
      <alignment horizontal="center" vertical="center"/>
      <protection locked="0"/>
    </xf>
    <xf numFmtId="10" fontId="5" fillId="2" borderId="3" xfId="0" applyNumberFormat="1" applyFont="1" applyFill="1" applyBorder="1" applyAlignment="1" applyProtection="1">
      <alignment horizontal="center" vertical="center"/>
      <protection locked="0"/>
    </xf>
    <xf numFmtId="167" fontId="3" fillId="0" borderId="0" xfId="2" applyNumberFormat="1" applyFont="1" applyAlignment="1" applyProtection="1">
      <alignment vertical="center"/>
    </xf>
    <xf numFmtId="10" fontId="3" fillId="0" borderId="0" xfId="1" applyNumberFormat="1" applyFont="1" applyAlignment="1">
      <alignment vertical="center"/>
    </xf>
    <xf numFmtId="166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0" fontId="3" fillId="4" borderId="1" xfId="0" applyFont="1" applyFill="1" applyBorder="1" applyAlignment="1">
      <alignment vertical="center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64" fontId="4" fillId="4" borderId="1" xfId="2" applyFont="1" applyFill="1" applyBorder="1" applyAlignment="1" applyProtection="1">
      <alignment vertical="center"/>
    </xf>
    <xf numFmtId="10" fontId="4" fillId="7" borderId="1" xfId="1" applyNumberFormat="1" applyFont="1" applyFill="1" applyBorder="1" applyAlignment="1" applyProtection="1">
      <alignment vertical="center"/>
    </xf>
    <xf numFmtId="10" fontId="4" fillId="8" borderId="1" xfId="1" applyNumberFormat="1" applyFont="1" applyFill="1" applyBorder="1" applyAlignment="1" applyProtection="1">
      <alignment vertical="center"/>
    </xf>
    <xf numFmtId="0" fontId="10" fillId="5" borderId="13" xfId="0" applyFont="1" applyFill="1" applyBorder="1" applyAlignment="1">
      <alignment horizontal="center" vertical="center"/>
    </xf>
    <xf numFmtId="0" fontId="10" fillId="5" borderId="14" xfId="0" applyFont="1" applyFill="1" applyBorder="1" applyAlignment="1">
      <alignment horizontal="center" vertical="center"/>
    </xf>
    <xf numFmtId="0" fontId="10" fillId="5" borderId="1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6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9" fillId="4" borderId="8" xfId="0" applyFont="1" applyFill="1" applyBorder="1" applyAlignment="1">
      <alignment horizontal="center" vertical="center"/>
    </xf>
    <xf numFmtId="0" fontId="9" fillId="4" borderId="0" xfId="0" applyFont="1" applyFill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3" fillId="4" borderId="16" xfId="0" applyFont="1" applyFill="1" applyBorder="1" applyAlignment="1">
      <alignment horizontal="left" vertical="center"/>
    </xf>
    <xf numFmtId="167" fontId="5" fillId="2" borderId="2" xfId="2" applyNumberFormat="1" applyFont="1" applyFill="1" applyBorder="1" applyAlignment="1">
      <alignment horizontal="center" vertical="center"/>
    </xf>
    <xf numFmtId="167" fontId="5" fillId="4" borderId="2" xfId="2" applyNumberFormat="1" applyFont="1" applyFill="1" applyBorder="1" applyAlignment="1">
      <alignment horizontal="center" vertical="center"/>
    </xf>
  </cellXfs>
  <cellStyles count="3">
    <cellStyle name="Millares" xfId="2" builtinId="3"/>
    <cellStyle name="Normal" xfId="0" builtinId="0"/>
    <cellStyle name="Porcentaje" xfId="1" builtinId="5"/>
  </cellStyles>
  <dxfs count="18"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  <dxf>
      <font>
        <color rgb="FFFF0000"/>
      </font>
    </dxf>
    <dxf>
      <font>
        <color rgb="FF00B050"/>
      </font>
    </dxf>
  </dxfs>
  <tableStyles count="0" defaultTableStyle="TableStyleMedium2" defaultPivotStyle="PivotStyleLight16"/>
  <colors>
    <mruColors>
      <color rgb="FF80FF21"/>
      <color rgb="FFFFFFCC"/>
      <color rgb="FFFFFF99"/>
      <color rgb="FFFFFFFF"/>
      <color rgb="FF833C0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119063</xdr:colOff>
      <xdr:row>1</xdr:row>
      <xdr:rowOff>23812</xdr:rowOff>
    </xdr:from>
    <xdr:to>
      <xdr:col>2</xdr:col>
      <xdr:colOff>648229</xdr:colOff>
      <xdr:row>1</xdr:row>
      <xdr:rowOff>478461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619D2A1-2CBC-40A2-BEBA-82C91CBFB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1" y="261937"/>
          <a:ext cx="529166" cy="454649"/>
        </a:xfrm>
        <a:prstGeom prst="rect">
          <a:avLst/>
        </a:prstGeom>
      </xdr:spPr>
    </xdr:pic>
    <xdr:clientData/>
  </xdr:twoCellAnchor>
  <xdr:twoCellAnchor editAs="oneCell">
    <xdr:from>
      <xdr:col>2</xdr:col>
      <xdr:colOff>59531</xdr:colOff>
      <xdr:row>2</xdr:row>
      <xdr:rowOff>154782</xdr:rowOff>
    </xdr:from>
    <xdr:to>
      <xdr:col>2</xdr:col>
      <xdr:colOff>1775627</xdr:colOff>
      <xdr:row>5</xdr:row>
      <xdr:rowOff>202405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5F82C70-64A4-7A49-71D7-4558158F0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schemeClr val="accent4">
              <a:shade val="45000"/>
              <a:satMod val="135000"/>
            </a:schemeClr>
            <a:prstClr val="white"/>
          </a:duotone>
        </a:blip>
        <a:stretch>
          <a:fillRect/>
        </a:stretch>
      </xdr:blipFill>
      <xdr:spPr>
        <a:xfrm>
          <a:off x="416719" y="892970"/>
          <a:ext cx="1716096" cy="76199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1"/>
  <sheetViews>
    <sheetView showGridLines="0" tabSelected="1" topLeftCell="B27" zoomScale="80" zoomScaleNormal="80" zoomScaleSheetLayoutView="100" workbookViewId="0">
      <selection activeCell="D45" sqref="D45"/>
    </sheetView>
  </sheetViews>
  <sheetFormatPr baseColWidth="10" defaultColWidth="18.44140625" defaultRowHeight="18.75" customHeight="1" x14ac:dyDescent="0.3"/>
  <cols>
    <col min="1" max="2" width="2.6640625" style="3" customWidth="1"/>
    <col min="3" max="3" width="129.44140625" style="36" bestFit="1" customWidth="1"/>
    <col min="4" max="4" width="5.6640625" style="36" customWidth="1"/>
    <col min="5" max="9" width="15.6640625" style="3" customWidth="1"/>
    <col min="10" max="10" width="0.88671875" style="3" customWidth="1"/>
    <col min="11" max="11" width="15.6640625" style="3" customWidth="1"/>
    <col min="12" max="12" width="2.6640625" style="3" customWidth="1"/>
    <col min="13" max="16384" width="18.44140625" style="3"/>
  </cols>
  <sheetData>
    <row r="1" spans="1:17" ht="18.75" customHeight="1" x14ac:dyDescent="0.3">
      <c r="A1" s="1"/>
      <c r="B1" s="1"/>
      <c r="C1" s="2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9.9" customHeight="1" x14ac:dyDescent="0.3">
      <c r="A2" s="1"/>
      <c r="B2" s="54" t="s">
        <v>43</v>
      </c>
      <c r="C2" s="55"/>
      <c r="D2" s="55"/>
      <c r="E2" s="55"/>
      <c r="F2" s="55"/>
      <c r="G2" s="55"/>
      <c r="H2" s="55"/>
      <c r="I2" s="55"/>
      <c r="J2" s="55"/>
      <c r="K2" s="55"/>
      <c r="L2" s="56"/>
      <c r="M2" s="1"/>
      <c r="N2" s="1"/>
      <c r="O2" s="1"/>
      <c r="P2" s="1"/>
      <c r="Q2" s="1"/>
    </row>
    <row r="3" spans="1:17" ht="18.75" customHeight="1" x14ac:dyDescent="0.3">
      <c r="A3" s="1"/>
      <c r="B3" s="57" t="s">
        <v>25</v>
      </c>
      <c r="C3" s="58"/>
      <c r="D3" s="58"/>
      <c r="E3" s="58"/>
      <c r="F3" s="58"/>
      <c r="G3" s="58"/>
      <c r="H3" s="58"/>
      <c r="I3" s="58"/>
      <c r="J3" s="58"/>
      <c r="K3" s="58"/>
      <c r="L3" s="59"/>
      <c r="M3" s="1"/>
      <c r="N3" s="1"/>
      <c r="O3" s="1"/>
      <c r="P3" s="1"/>
      <c r="Q3" s="1"/>
    </row>
    <row r="4" spans="1:17" ht="18.75" customHeight="1" x14ac:dyDescent="0.3">
      <c r="A4" s="1"/>
      <c r="B4" s="4"/>
      <c r="C4" s="5"/>
      <c r="D4" s="5"/>
      <c r="E4" s="6"/>
      <c r="F4" s="6"/>
      <c r="G4" s="6"/>
      <c r="H4" s="6"/>
      <c r="I4" s="6"/>
      <c r="J4" s="6"/>
      <c r="K4" s="6"/>
      <c r="L4" s="7"/>
      <c r="M4" s="1"/>
      <c r="N4" s="1"/>
      <c r="O4" s="1"/>
      <c r="P4" s="1"/>
      <c r="Q4" s="1"/>
    </row>
    <row r="5" spans="1:17" ht="18.75" customHeight="1" x14ac:dyDescent="0.3">
      <c r="A5" s="1"/>
      <c r="B5" s="4"/>
      <c r="C5" s="5"/>
      <c r="D5" s="5"/>
      <c r="E5" s="51" t="s">
        <v>12</v>
      </c>
      <c r="F5" s="52"/>
      <c r="G5" s="52"/>
      <c r="H5" s="52"/>
      <c r="I5" s="53"/>
      <c r="J5" s="8"/>
      <c r="K5" s="9"/>
      <c r="L5" s="7"/>
      <c r="M5" s="1"/>
      <c r="N5" s="1"/>
      <c r="O5" s="1"/>
      <c r="P5" s="1"/>
      <c r="Q5" s="1"/>
    </row>
    <row r="6" spans="1:17" ht="18.75" customHeight="1" x14ac:dyDescent="0.3">
      <c r="A6" s="1"/>
      <c r="B6" s="4"/>
      <c r="C6" s="5"/>
      <c r="D6" s="5"/>
      <c r="E6" s="10" t="s">
        <v>0</v>
      </c>
      <c r="F6" s="10" t="s">
        <v>1</v>
      </c>
      <c r="G6" s="10" t="s">
        <v>2</v>
      </c>
      <c r="H6" s="10" t="s">
        <v>3</v>
      </c>
      <c r="I6" s="10" t="s">
        <v>4</v>
      </c>
      <c r="J6" s="8"/>
      <c r="K6" s="9"/>
      <c r="L6" s="7"/>
      <c r="M6" s="1"/>
      <c r="N6" s="1"/>
      <c r="O6" s="1"/>
      <c r="P6" s="1"/>
      <c r="Q6" s="1"/>
    </row>
    <row r="7" spans="1:17" ht="18.75" customHeight="1" x14ac:dyDescent="0.3">
      <c r="A7" s="1"/>
      <c r="B7" s="4"/>
      <c r="C7" s="11" t="s">
        <v>29</v>
      </c>
      <c r="D7" s="11"/>
      <c r="E7" s="61">
        <v>20000000</v>
      </c>
      <c r="F7" s="62">
        <f>E18+E25</f>
        <v>21000000</v>
      </c>
      <c r="G7" s="62">
        <f>F18+F25</f>
        <v>22575000</v>
      </c>
      <c r="H7" s="62">
        <f>G18+G25</f>
        <v>24832500</v>
      </c>
      <c r="I7" s="62">
        <f>H18+H25</f>
        <v>27936562.5</v>
      </c>
      <c r="J7" s="8"/>
      <c r="K7" s="9"/>
      <c r="L7" s="7"/>
      <c r="M7" s="1"/>
      <c r="N7" s="1"/>
      <c r="O7" s="1"/>
      <c r="P7" s="1"/>
      <c r="Q7" s="1"/>
    </row>
    <row r="8" spans="1:17" ht="18.75" customHeight="1" x14ac:dyDescent="0.3">
      <c r="A8" s="1"/>
      <c r="B8" s="4"/>
      <c r="C8" s="11" t="s">
        <v>30</v>
      </c>
      <c r="D8" s="11"/>
      <c r="E8" s="37">
        <v>0.55610000000000004</v>
      </c>
      <c r="F8" s="12">
        <f>+E8</f>
        <v>0.55610000000000004</v>
      </c>
      <c r="G8" s="12">
        <f t="shared" ref="G8:I8" si="0">+F8</f>
        <v>0.55610000000000004</v>
      </c>
      <c r="H8" s="12">
        <f t="shared" si="0"/>
        <v>0.55610000000000004</v>
      </c>
      <c r="I8" s="12">
        <f t="shared" si="0"/>
        <v>0.55610000000000004</v>
      </c>
      <c r="J8" s="8"/>
      <c r="K8" s="9"/>
      <c r="L8" s="7"/>
      <c r="M8" s="1"/>
      <c r="N8" s="1"/>
      <c r="O8" s="1"/>
      <c r="P8" s="1"/>
      <c r="Q8" s="1"/>
    </row>
    <row r="9" spans="1:17" ht="18.75" customHeight="1" x14ac:dyDescent="0.3">
      <c r="A9" s="1"/>
      <c r="B9" s="4"/>
      <c r="C9" s="11" t="s">
        <v>31</v>
      </c>
      <c r="D9" s="11"/>
      <c r="E9" s="37">
        <v>0.1129</v>
      </c>
      <c r="F9" s="12">
        <f>+E9</f>
        <v>0.1129</v>
      </c>
      <c r="G9" s="12">
        <f t="shared" ref="G9:I9" si="1">+F9</f>
        <v>0.1129</v>
      </c>
      <c r="H9" s="12">
        <f t="shared" si="1"/>
        <v>0.1129</v>
      </c>
      <c r="I9" s="12">
        <f t="shared" si="1"/>
        <v>0.1129</v>
      </c>
      <c r="J9" s="8"/>
      <c r="K9" s="9"/>
      <c r="L9" s="7"/>
      <c r="M9" s="1"/>
      <c r="N9" s="1"/>
      <c r="O9" s="1"/>
      <c r="P9" s="1"/>
      <c r="Q9" s="1"/>
    </row>
    <row r="10" spans="1:17" ht="9.9" customHeight="1" x14ac:dyDescent="0.3">
      <c r="A10" s="1"/>
      <c r="B10" s="4"/>
      <c r="C10" s="11"/>
      <c r="D10" s="11"/>
      <c r="E10" s="38"/>
      <c r="F10" s="13"/>
      <c r="G10" s="13"/>
      <c r="H10" s="13"/>
      <c r="I10" s="13"/>
      <c r="J10" s="8"/>
      <c r="K10" s="9"/>
      <c r="L10" s="7"/>
      <c r="M10" s="1"/>
      <c r="N10" s="1"/>
      <c r="O10" s="1"/>
      <c r="P10" s="1"/>
      <c r="Q10" s="1"/>
    </row>
    <row r="11" spans="1:17" ht="18.75" customHeight="1" x14ac:dyDescent="0.3">
      <c r="A11" s="1"/>
      <c r="B11" s="4"/>
      <c r="C11" s="11" t="s">
        <v>14</v>
      </c>
      <c r="D11" s="11"/>
      <c r="E11" s="39">
        <v>7.4999999999999997E-2</v>
      </c>
      <c r="F11" s="39">
        <v>0.1</v>
      </c>
      <c r="G11" s="39">
        <v>7.4999999999999997E-2</v>
      </c>
      <c r="H11" s="39">
        <v>0.05</v>
      </c>
      <c r="I11" s="39">
        <v>0.05</v>
      </c>
      <c r="J11" s="8"/>
      <c r="K11" s="9"/>
      <c r="L11" s="7"/>
      <c r="M11" s="1"/>
      <c r="N11" s="1"/>
      <c r="O11" s="1"/>
      <c r="P11" s="1"/>
      <c r="Q11" s="1"/>
    </row>
    <row r="12" spans="1:17" ht="18.75" customHeight="1" x14ac:dyDescent="0.3">
      <c r="A12" s="1"/>
      <c r="B12" s="4"/>
      <c r="C12" s="11" t="s">
        <v>15</v>
      </c>
      <c r="D12" s="11"/>
      <c r="E12" s="39">
        <v>0.05</v>
      </c>
      <c r="F12" s="39">
        <v>7.4999999999999997E-2</v>
      </c>
      <c r="G12" s="39">
        <v>0.1</v>
      </c>
      <c r="H12" s="39">
        <v>0.125</v>
      </c>
      <c r="I12" s="39">
        <v>0.15</v>
      </c>
      <c r="J12" s="8"/>
      <c r="K12" s="9"/>
      <c r="L12" s="7"/>
      <c r="M12" s="1"/>
      <c r="N12" s="1"/>
      <c r="O12" s="1"/>
      <c r="P12" s="1"/>
      <c r="Q12" s="1"/>
    </row>
    <row r="13" spans="1:17" ht="18.75" customHeight="1" x14ac:dyDescent="0.3">
      <c r="A13" s="1"/>
      <c r="B13" s="4"/>
      <c r="C13" s="11" t="s">
        <v>16</v>
      </c>
      <c r="D13" s="11"/>
      <c r="E13" s="39">
        <v>0.08</v>
      </c>
      <c r="F13" s="39">
        <v>0.09</v>
      </c>
      <c r="G13" s="39">
        <v>0.1</v>
      </c>
      <c r="H13" s="39">
        <v>0.11</v>
      </c>
      <c r="I13" s="39">
        <v>0.12</v>
      </c>
      <c r="J13" s="8"/>
      <c r="K13" s="6"/>
      <c r="L13" s="7"/>
      <c r="M13" s="1"/>
      <c r="N13" s="1"/>
      <c r="O13" s="1"/>
      <c r="P13" s="1"/>
      <c r="Q13" s="1"/>
    </row>
    <row r="14" spans="1:17" ht="18.75" customHeight="1" x14ac:dyDescent="0.3">
      <c r="A14" s="1"/>
      <c r="B14" s="4"/>
      <c r="C14" s="11" t="s">
        <v>17</v>
      </c>
      <c r="D14" s="11"/>
      <c r="E14" s="40">
        <v>0.1</v>
      </c>
      <c r="F14" s="40">
        <v>0.11</v>
      </c>
      <c r="G14" s="40">
        <v>0.12</v>
      </c>
      <c r="H14" s="40">
        <v>0.13</v>
      </c>
      <c r="I14" s="40">
        <v>0.14000000000000001</v>
      </c>
      <c r="J14" s="8"/>
      <c r="K14" s="6"/>
      <c r="L14" s="7"/>
      <c r="M14" s="1"/>
      <c r="N14" s="1"/>
      <c r="O14" s="1"/>
      <c r="P14" s="1"/>
      <c r="Q14" s="1"/>
    </row>
    <row r="15" spans="1:17" ht="18.75" customHeight="1" x14ac:dyDescent="0.3">
      <c r="A15" s="1"/>
      <c r="B15" s="4"/>
      <c r="C15" s="5"/>
      <c r="D15" s="5"/>
      <c r="E15" s="6"/>
      <c r="F15" s="6"/>
      <c r="G15" s="6"/>
      <c r="H15" s="6"/>
      <c r="I15" s="6"/>
      <c r="J15" s="6"/>
      <c r="K15" s="6"/>
      <c r="L15" s="7"/>
      <c r="M15" s="1"/>
      <c r="N15" s="1"/>
      <c r="O15" s="1"/>
      <c r="P15" s="1"/>
      <c r="Q15" s="1"/>
    </row>
    <row r="16" spans="1:17" ht="18.75" customHeight="1" x14ac:dyDescent="0.3">
      <c r="A16" s="1"/>
      <c r="B16" s="4"/>
      <c r="C16" s="5"/>
      <c r="D16" s="5"/>
      <c r="E16" s="6"/>
      <c r="F16" s="6"/>
      <c r="G16" s="6"/>
      <c r="H16" s="6"/>
      <c r="I16" s="6"/>
      <c r="J16" s="6"/>
      <c r="K16" s="6"/>
      <c r="L16" s="7"/>
      <c r="M16" s="1"/>
      <c r="N16" s="1"/>
      <c r="O16" s="1"/>
      <c r="P16" s="1"/>
      <c r="Q16" s="1"/>
    </row>
    <row r="17" spans="1:17" ht="18.75" customHeight="1" x14ac:dyDescent="0.3">
      <c r="A17" s="1"/>
      <c r="B17" s="4"/>
      <c r="C17" s="14" t="s">
        <v>7</v>
      </c>
      <c r="D17" s="14"/>
      <c r="E17" s="10" t="s">
        <v>0</v>
      </c>
      <c r="F17" s="10" t="s">
        <v>1</v>
      </c>
      <c r="G17" s="10" t="s">
        <v>2</v>
      </c>
      <c r="H17" s="10" t="s">
        <v>3</v>
      </c>
      <c r="I17" s="10" t="s">
        <v>4</v>
      </c>
      <c r="J17" s="6"/>
      <c r="K17" s="10" t="s">
        <v>5</v>
      </c>
      <c r="L17" s="7"/>
      <c r="M17" s="1"/>
      <c r="N17" s="1"/>
      <c r="O17" s="1"/>
      <c r="P17" s="1"/>
      <c r="Q17" s="1"/>
    </row>
    <row r="18" spans="1:17" ht="18.75" customHeight="1" x14ac:dyDescent="0.3">
      <c r="A18" s="1"/>
      <c r="B18" s="4"/>
      <c r="C18" s="15" t="s">
        <v>32</v>
      </c>
      <c r="D18" s="15"/>
      <c r="E18" s="16">
        <f>E7</f>
        <v>20000000</v>
      </c>
      <c r="F18" s="16">
        <f>F7</f>
        <v>21000000</v>
      </c>
      <c r="G18" s="16">
        <f>G7</f>
        <v>22575000</v>
      </c>
      <c r="H18" s="16">
        <f>H7</f>
        <v>24832500</v>
      </c>
      <c r="I18" s="16">
        <f>I7</f>
        <v>27936562.5</v>
      </c>
      <c r="J18" s="6"/>
      <c r="K18" s="17">
        <f>SUM(E18:I18)</f>
        <v>116344062.5</v>
      </c>
      <c r="L18" s="7"/>
      <c r="M18" s="1"/>
      <c r="N18" s="1"/>
      <c r="O18" s="1"/>
      <c r="P18" s="1"/>
      <c r="Q18" s="1"/>
    </row>
    <row r="19" spans="1:17" ht="18.75" customHeight="1" x14ac:dyDescent="0.3">
      <c r="A19" s="1"/>
      <c r="B19" s="4"/>
      <c r="C19" s="15" t="s">
        <v>33</v>
      </c>
      <c r="D19" s="15"/>
      <c r="E19" s="18">
        <f>+E18*E8</f>
        <v>11122000</v>
      </c>
      <c r="F19" s="18">
        <f t="shared" ref="F19:I19" si="2">+F18*F8</f>
        <v>11678100</v>
      </c>
      <c r="G19" s="18">
        <f t="shared" si="2"/>
        <v>12553957.5</v>
      </c>
      <c r="H19" s="18">
        <f t="shared" si="2"/>
        <v>13809353.250000002</v>
      </c>
      <c r="I19" s="18">
        <f t="shared" si="2"/>
        <v>15535522.406250002</v>
      </c>
      <c r="J19" s="6"/>
      <c r="K19" s="19">
        <f t="shared" ref="K19:K22" si="3">SUM(E19:I19)</f>
        <v>64698933.15625</v>
      </c>
      <c r="L19" s="7"/>
      <c r="M19" s="1"/>
      <c r="N19" s="1"/>
      <c r="O19" s="1"/>
      <c r="P19" s="1"/>
      <c r="Q19" s="1"/>
    </row>
    <row r="20" spans="1:17" ht="18.75" customHeight="1" x14ac:dyDescent="0.3">
      <c r="A20" s="1"/>
      <c r="B20" s="4"/>
      <c r="C20" s="15" t="s">
        <v>34</v>
      </c>
      <c r="D20" s="15"/>
      <c r="E20" s="18">
        <f>E18*(100%-E8)</f>
        <v>8878000</v>
      </c>
      <c r="F20" s="18">
        <f t="shared" ref="F20:I20" si="4">F18*(100%-F8)</f>
        <v>9321900</v>
      </c>
      <c r="G20" s="18">
        <f t="shared" si="4"/>
        <v>10021042.5</v>
      </c>
      <c r="H20" s="18">
        <f t="shared" si="4"/>
        <v>11023146.749999998</v>
      </c>
      <c r="I20" s="18">
        <f t="shared" si="4"/>
        <v>12401040.093749998</v>
      </c>
      <c r="J20" s="6"/>
      <c r="K20" s="19">
        <f t="shared" si="3"/>
        <v>51645129.34375</v>
      </c>
      <c r="L20" s="7"/>
      <c r="M20" s="1"/>
      <c r="N20" s="1"/>
      <c r="O20" s="1"/>
      <c r="P20" s="1"/>
      <c r="Q20" s="1"/>
    </row>
    <row r="21" spans="1:17" ht="18.75" customHeight="1" x14ac:dyDescent="0.3">
      <c r="A21" s="1"/>
      <c r="B21" s="4"/>
      <c r="C21" s="15" t="s">
        <v>35</v>
      </c>
      <c r="D21" s="15"/>
      <c r="E21" s="18">
        <f>+E18*E9</f>
        <v>2258000</v>
      </c>
      <c r="F21" s="18">
        <f t="shared" ref="F21:I21" si="5">+F18*F9</f>
        <v>2370900</v>
      </c>
      <c r="G21" s="18">
        <f t="shared" si="5"/>
        <v>2548717.5</v>
      </c>
      <c r="H21" s="18">
        <f t="shared" si="5"/>
        <v>2803589.25</v>
      </c>
      <c r="I21" s="18">
        <f t="shared" si="5"/>
        <v>3154037.90625</v>
      </c>
      <c r="J21" s="6"/>
      <c r="K21" s="19">
        <f t="shared" si="3"/>
        <v>13135244.65625</v>
      </c>
      <c r="L21" s="7"/>
      <c r="M21" s="1"/>
      <c r="N21" s="1"/>
      <c r="O21" s="1"/>
      <c r="P21" s="1"/>
      <c r="Q21" s="1"/>
    </row>
    <row r="22" spans="1:17" ht="18.75" customHeight="1" x14ac:dyDescent="0.3">
      <c r="A22" s="1"/>
      <c r="B22" s="4"/>
      <c r="C22" s="15" t="s">
        <v>36</v>
      </c>
      <c r="D22" s="15"/>
      <c r="E22" s="18">
        <f>E18*(100%-E9)-E18*(100%-E8)</f>
        <v>8864000</v>
      </c>
      <c r="F22" s="18">
        <f t="shared" ref="F22:I22" si="6">F18*(100%-F9)-F18*(100%-F8)</f>
        <v>9307200</v>
      </c>
      <c r="G22" s="18">
        <f t="shared" si="6"/>
        <v>10005240</v>
      </c>
      <c r="H22" s="18">
        <f t="shared" si="6"/>
        <v>11005764.000000002</v>
      </c>
      <c r="I22" s="18">
        <f t="shared" si="6"/>
        <v>12381484.500000002</v>
      </c>
      <c r="J22" s="6"/>
      <c r="K22" s="19">
        <f t="shared" si="3"/>
        <v>51563688.5</v>
      </c>
      <c r="L22" s="7"/>
      <c r="M22" s="1"/>
      <c r="N22" s="1"/>
      <c r="O22" s="1"/>
      <c r="P22" s="1"/>
      <c r="Q22" s="1"/>
    </row>
    <row r="23" spans="1:17" ht="9.9" customHeight="1" x14ac:dyDescent="0.3">
      <c r="A23" s="1"/>
      <c r="B23" s="4"/>
      <c r="C23" s="15"/>
      <c r="D23" s="15"/>
      <c r="E23" s="20"/>
      <c r="F23" s="20"/>
      <c r="G23" s="20"/>
      <c r="H23" s="20"/>
      <c r="I23" s="20"/>
      <c r="J23" s="6"/>
      <c r="K23" s="20"/>
      <c r="L23" s="7"/>
      <c r="M23" s="1"/>
      <c r="N23" s="1"/>
      <c r="O23" s="1"/>
      <c r="P23" s="1"/>
      <c r="Q23" s="1"/>
    </row>
    <row r="24" spans="1:17" ht="18.75" customHeight="1" x14ac:dyDescent="0.3">
      <c r="A24" s="1"/>
      <c r="B24" s="4"/>
      <c r="C24" s="15" t="s">
        <v>18</v>
      </c>
      <c r="D24" s="15"/>
      <c r="E24" s="18">
        <f>E18*E11</f>
        <v>1500000</v>
      </c>
      <c r="F24" s="18">
        <f>F18*F11</f>
        <v>2100000</v>
      </c>
      <c r="G24" s="18">
        <f>G18*G11</f>
        <v>1693125</v>
      </c>
      <c r="H24" s="18">
        <f>H18*H11</f>
        <v>1241625</v>
      </c>
      <c r="I24" s="18">
        <f>I18*I11</f>
        <v>1396828.125</v>
      </c>
      <c r="J24" s="6"/>
      <c r="K24" s="19">
        <f>SUM(E24:I24)</f>
        <v>7931578.125</v>
      </c>
      <c r="L24" s="7"/>
      <c r="M24" s="1"/>
      <c r="N24" s="1"/>
      <c r="O24" s="1"/>
      <c r="P24" s="1"/>
      <c r="Q24" s="1"/>
    </row>
    <row r="25" spans="1:17" ht="18.75" customHeight="1" x14ac:dyDescent="0.3">
      <c r="A25" s="1"/>
      <c r="B25" s="4"/>
      <c r="C25" s="15" t="s">
        <v>26</v>
      </c>
      <c r="D25" s="15"/>
      <c r="E25" s="18">
        <f>E18*E12</f>
        <v>1000000</v>
      </c>
      <c r="F25" s="18">
        <f>F18*F12</f>
        <v>1575000</v>
      </c>
      <c r="G25" s="18">
        <f>G18*G12</f>
        <v>2257500</v>
      </c>
      <c r="H25" s="18">
        <f>H18*H12</f>
        <v>3104062.5</v>
      </c>
      <c r="I25" s="18">
        <f>I18*I12</f>
        <v>4190484.375</v>
      </c>
      <c r="J25" s="6"/>
      <c r="K25" s="19">
        <f>SUM(E25:I25)</f>
        <v>12127046.875</v>
      </c>
      <c r="L25" s="7"/>
      <c r="M25" s="1"/>
      <c r="N25" s="1"/>
      <c r="O25" s="1"/>
      <c r="P25" s="1"/>
      <c r="Q25" s="1"/>
    </row>
    <row r="26" spans="1:17" ht="18.75" customHeight="1" x14ac:dyDescent="0.3">
      <c r="A26" s="1"/>
      <c r="B26" s="4"/>
      <c r="C26" s="15" t="s">
        <v>27</v>
      </c>
      <c r="D26" s="15"/>
      <c r="E26" s="18">
        <f>E20*E13</f>
        <v>710240</v>
      </c>
      <c r="F26" s="18">
        <f>F20*F13</f>
        <v>838971</v>
      </c>
      <c r="G26" s="18">
        <f>G20*G13</f>
        <v>1002104.25</v>
      </c>
      <c r="H26" s="18">
        <f>H20*H13</f>
        <v>1212546.1424999998</v>
      </c>
      <c r="I26" s="18">
        <f>I20*I13</f>
        <v>1488124.8112499998</v>
      </c>
      <c r="J26" s="6"/>
      <c r="K26" s="19">
        <f>SUM(E26:I26)</f>
        <v>5251986.2037499994</v>
      </c>
      <c r="L26" s="7"/>
      <c r="M26" s="1"/>
      <c r="N26" s="1"/>
      <c r="O26" s="1"/>
      <c r="P26" s="1"/>
      <c r="Q26" s="1"/>
    </row>
    <row r="27" spans="1:17" ht="18.75" customHeight="1" x14ac:dyDescent="0.3">
      <c r="A27" s="1"/>
      <c r="B27" s="4"/>
      <c r="C27" s="15" t="s">
        <v>28</v>
      </c>
      <c r="D27" s="15"/>
      <c r="E27" s="18">
        <f>E22*E14</f>
        <v>886400</v>
      </c>
      <c r="F27" s="18">
        <f>F22*F14</f>
        <v>1023792</v>
      </c>
      <c r="G27" s="18">
        <f>G22*G14</f>
        <v>1200628.8</v>
      </c>
      <c r="H27" s="18">
        <f>H22*H14</f>
        <v>1430749.3200000003</v>
      </c>
      <c r="I27" s="18">
        <f>I22*I14</f>
        <v>1733407.8300000005</v>
      </c>
      <c r="J27" s="6"/>
      <c r="K27" s="19">
        <f>SUM(E27:I27)</f>
        <v>6274977.9500000011</v>
      </c>
      <c r="L27" s="7"/>
      <c r="M27" s="1"/>
      <c r="N27" s="1"/>
      <c r="O27" s="1"/>
      <c r="P27" s="1"/>
      <c r="Q27" s="1"/>
    </row>
    <row r="28" spans="1:17" ht="18.75" customHeight="1" x14ac:dyDescent="0.3">
      <c r="A28" s="1"/>
      <c r="B28" s="4"/>
      <c r="C28" s="15"/>
      <c r="D28" s="15"/>
      <c r="E28" s="21"/>
      <c r="F28" s="21"/>
      <c r="G28" s="21"/>
      <c r="H28" s="21"/>
      <c r="I28" s="21"/>
      <c r="J28" s="6"/>
      <c r="K28" s="21"/>
      <c r="L28" s="7"/>
      <c r="M28" s="1"/>
      <c r="N28" s="1"/>
      <c r="O28" s="1"/>
      <c r="P28" s="1"/>
      <c r="Q28" s="1"/>
    </row>
    <row r="29" spans="1:17" ht="18.75" customHeight="1" x14ac:dyDescent="0.3">
      <c r="A29" s="1"/>
      <c r="B29" s="4"/>
      <c r="C29" s="22" t="s">
        <v>6</v>
      </c>
      <c r="D29" s="22"/>
      <c r="E29" s="10" t="s">
        <v>0</v>
      </c>
      <c r="F29" s="10" t="s">
        <v>1</v>
      </c>
      <c r="G29" s="10" t="s">
        <v>2</v>
      </c>
      <c r="H29" s="10" t="s">
        <v>3</v>
      </c>
      <c r="I29" s="10" t="s">
        <v>4</v>
      </c>
      <c r="J29" s="6"/>
      <c r="K29" s="10" t="s">
        <v>5</v>
      </c>
      <c r="L29" s="7"/>
      <c r="M29" s="1"/>
      <c r="N29" s="1"/>
      <c r="O29" s="1"/>
      <c r="P29" s="1"/>
      <c r="Q29" s="1"/>
    </row>
    <row r="30" spans="1:17" ht="18.75" customHeight="1" x14ac:dyDescent="0.3">
      <c r="A30" s="1"/>
      <c r="B30" s="4"/>
      <c r="C30" s="15" t="s">
        <v>19</v>
      </c>
      <c r="D30" s="15"/>
      <c r="E30" s="23">
        <f>E25+E26+E27</f>
        <v>2596640</v>
      </c>
      <c r="F30" s="23">
        <f t="shared" ref="F30:I30" si="7">F25+F26+F27</f>
        <v>3437763</v>
      </c>
      <c r="G30" s="23">
        <f t="shared" si="7"/>
        <v>4460233.05</v>
      </c>
      <c r="H30" s="23">
        <f t="shared" si="7"/>
        <v>5747357.9625000004</v>
      </c>
      <c r="I30" s="23">
        <f t="shared" si="7"/>
        <v>7412017.0162499994</v>
      </c>
      <c r="J30" s="6"/>
      <c r="K30" s="24">
        <f>SUM(E30:I30)</f>
        <v>23654011.028750002</v>
      </c>
      <c r="L30" s="7"/>
      <c r="M30" s="1"/>
      <c r="N30" s="1"/>
      <c r="O30" s="1"/>
      <c r="P30" s="1"/>
      <c r="Q30" s="1"/>
    </row>
    <row r="31" spans="1:17" ht="18.75" customHeight="1" x14ac:dyDescent="0.3">
      <c r="A31" s="1"/>
      <c r="B31" s="4"/>
      <c r="C31" s="15" t="s">
        <v>20</v>
      </c>
      <c r="D31" s="15"/>
      <c r="E31" s="23">
        <f>+E30</f>
        <v>2596640</v>
      </c>
      <c r="F31" s="23">
        <f>+E31+F30</f>
        <v>6034403</v>
      </c>
      <c r="G31" s="23">
        <f t="shared" ref="G31:I31" si="8">+F31+G30</f>
        <v>10494636.050000001</v>
      </c>
      <c r="H31" s="23">
        <f t="shared" si="8"/>
        <v>16241994.012500001</v>
      </c>
      <c r="I31" s="23">
        <f t="shared" si="8"/>
        <v>23654011.028750002</v>
      </c>
      <c r="J31" s="6"/>
      <c r="K31" s="25"/>
      <c r="L31" s="7"/>
      <c r="M31" s="1"/>
      <c r="N31" s="1"/>
      <c r="O31" s="1"/>
      <c r="P31" s="1"/>
      <c r="Q31" s="1"/>
    </row>
    <row r="32" spans="1:17" ht="9.9" customHeight="1" x14ac:dyDescent="0.3">
      <c r="A32" s="1"/>
      <c r="B32" s="4"/>
      <c r="C32" s="15"/>
      <c r="D32" s="15"/>
      <c r="E32" s="26"/>
      <c r="F32" s="26"/>
      <c r="G32" s="26"/>
      <c r="H32" s="26"/>
      <c r="I32" s="26"/>
      <c r="J32" s="6"/>
      <c r="K32" s="26"/>
      <c r="L32" s="7"/>
      <c r="M32" s="1"/>
      <c r="N32" s="1"/>
      <c r="O32" s="1"/>
      <c r="P32" s="1"/>
      <c r="Q32" s="1"/>
    </row>
    <row r="33" spans="1:17" ht="18.75" customHeight="1" x14ac:dyDescent="0.3">
      <c r="A33" s="1"/>
      <c r="B33" s="4"/>
      <c r="C33" s="15" t="s">
        <v>21</v>
      </c>
      <c r="D33" s="15"/>
      <c r="E33" s="23">
        <f>E30-E24</f>
        <v>1096640</v>
      </c>
      <c r="F33" s="23">
        <f>F30-F24</f>
        <v>1337763</v>
      </c>
      <c r="G33" s="23">
        <f>G30-G24</f>
        <v>2767108.05</v>
      </c>
      <c r="H33" s="23">
        <f>H30-H24</f>
        <v>4505732.9625000004</v>
      </c>
      <c r="I33" s="23">
        <f>I30-I24</f>
        <v>6015188.8912499994</v>
      </c>
      <c r="J33" s="6"/>
      <c r="K33" s="24">
        <f>SUM(E33:I33)</f>
        <v>15722432.903749999</v>
      </c>
      <c r="L33" s="7"/>
      <c r="M33" s="1"/>
      <c r="N33" s="1"/>
      <c r="O33" s="1"/>
      <c r="P33" s="1"/>
      <c r="Q33" s="1"/>
    </row>
    <row r="34" spans="1:17" ht="18.75" customHeight="1" x14ac:dyDescent="0.3">
      <c r="A34" s="1"/>
      <c r="B34" s="4"/>
      <c r="C34" s="15" t="s">
        <v>22</v>
      </c>
      <c r="D34" s="15"/>
      <c r="E34" s="23">
        <f>+E33</f>
        <v>1096640</v>
      </c>
      <c r="F34" s="23">
        <f>+E34+F33</f>
        <v>2434403</v>
      </c>
      <c r="G34" s="23">
        <f t="shared" ref="G34:I34" si="9">+F34+G33</f>
        <v>5201511.05</v>
      </c>
      <c r="H34" s="23">
        <f t="shared" si="9"/>
        <v>9707244.0124999993</v>
      </c>
      <c r="I34" s="23">
        <f t="shared" si="9"/>
        <v>15722432.903749999</v>
      </c>
      <c r="J34" s="6"/>
      <c r="K34" s="25"/>
      <c r="L34" s="7"/>
      <c r="M34" s="1"/>
      <c r="N34" s="1"/>
      <c r="O34" s="1"/>
      <c r="P34" s="1"/>
      <c r="Q34" s="1"/>
    </row>
    <row r="35" spans="1:17" ht="18.75" customHeight="1" x14ac:dyDescent="0.3">
      <c r="A35" s="1"/>
      <c r="B35" s="4"/>
      <c r="C35" s="15" t="s">
        <v>23</v>
      </c>
      <c r="D35" s="15"/>
      <c r="E35" s="27">
        <f>E33/E24</f>
        <v>0.73109333333333337</v>
      </c>
      <c r="F35" s="27">
        <f>F33/F24</f>
        <v>0.63702999999999999</v>
      </c>
      <c r="G35" s="27">
        <f>G33/G24</f>
        <v>1.63432</v>
      </c>
      <c r="H35" s="27">
        <f>H33/H24</f>
        <v>3.6289000000000002</v>
      </c>
      <c r="I35" s="27">
        <f>I33/I24</f>
        <v>4.3063199999999995</v>
      </c>
      <c r="J35" s="6"/>
      <c r="K35" s="28">
        <f>+K33/K24</f>
        <v>1.9822578377175095</v>
      </c>
      <c r="L35" s="7"/>
      <c r="M35" s="1"/>
      <c r="N35" s="1"/>
      <c r="O35" s="1"/>
      <c r="P35" s="1"/>
      <c r="Q35" s="1"/>
    </row>
    <row r="36" spans="1:17" ht="18.75" customHeight="1" x14ac:dyDescent="0.3">
      <c r="A36" s="1"/>
      <c r="B36" s="4"/>
      <c r="C36" s="15" t="s">
        <v>24</v>
      </c>
      <c r="D36" s="15"/>
      <c r="E36" s="27">
        <f>+E34/E24</f>
        <v>0.73109333333333337</v>
      </c>
      <c r="F36" s="27">
        <f>+F34/(F24+E24)</f>
        <v>0.67622305555555551</v>
      </c>
      <c r="G36" s="27">
        <f>+G34/(E24+F24+G24)</f>
        <v>0.98269189750856056</v>
      </c>
      <c r="H36" s="27">
        <f>+H34/(E24+F24+G24+H24)</f>
        <v>1.4854805482229618</v>
      </c>
      <c r="I36" s="27">
        <f>+I34/(E24+F24+G24+H24+I24)</f>
        <v>1.9822578377175095</v>
      </c>
      <c r="J36" s="6"/>
      <c r="K36" s="29"/>
      <c r="L36" s="7"/>
      <c r="M36" s="1"/>
      <c r="N36" s="1"/>
      <c r="O36" s="1"/>
      <c r="P36" s="1"/>
      <c r="Q36" s="1"/>
    </row>
    <row r="37" spans="1:17" ht="9.9" customHeight="1" x14ac:dyDescent="0.3">
      <c r="A37" s="1"/>
      <c r="B37" s="4"/>
      <c r="C37" s="15"/>
      <c r="D37" s="15"/>
      <c r="E37" s="30"/>
      <c r="F37" s="30"/>
      <c r="G37" s="30"/>
      <c r="H37" s="30"/>
      <c r="I37" s="30"/>
      <c r="J37" s="6"/>
      <c r="K37" s="31"/>
      <c r="L37" s="7"/>
      <c r="M37" s="1"/>
      <c r="N37" s="1"/>
      <c r="O37" s="1"/>
      <c r="P37" s="1"/>
      <c r="Q37" s="1"/>
    </row>
    <row r="38" spans="1:17" ht="18.75" customHeight="1" x14ac:dyDescent="0.3">
      <c r="A38" s="1"/>
      <c r="B38" s="4"/>
      <c r="C38" s="15" t="s">
        <v>8</v>
      </c>
      <c r="D38" s="15"/>
      <c r="E38" s="27">
        <f>(E18-E20+E26)/E18</f>
        <v>0.59161200000000003</v>
      </c>
      <c r="F38" s="27">
        <f t="shared" ref="F38:I38" si="10">(F18-F20+F26)/F18</f>
        <v>0.596051</v>
      </c>
      <c r="G38" s="27">
        <f t="shared" si="10"/>
        <v>0.60048999999999997</v>
      </c>
      <c r="H38" s="27">
        <f t="shared" si="10"/>
        <v>0.60492900000000005</v>
      </c>
      <c r="I38" s="27">
        <f t="shared" si="10"/>
        <v>0.60936800000000002</v>
      </c>
      <c r="J38" s="6"/>
      <c r="K38" s="28">
        <f>(K18-K20+K26)/K18</f>
        <v>0.601241849879533</v>
      </c>
      <c r="L38" s="7"/>
      <c r="M38" s="1"/>
      <c r="N38" s="1"/>
      <c r="O38" s="1"/>
      <c r="P38" s="1"/>
      <c r="Q38" s="1"/>
    </row>
    <row r="39" spans="1:17" ht="18.75" customHeight="1" x14ac:dyDescent="0.3">
      <c r="A39" s="1"/>
      <c r="B39" s="4"/>
      <c r="C39" s="15" t="s">
        <v>9</v>
      </c>
      <c r="D39" s="15"/>
      <c r="E39" s="27">
        <f>+E38-E8</f>
        <v>3.5511999999999988E-2</v>
      </c>
      <c r="F39" s="27">
        <f>+F38-F8</f>
        <v>3.9950999999999959E-2</v>
      </c>
      <c r="G39" s="27">
        <f>+G38-G8</f>
        <v>4.438999999999993E-2</v>
      </c>
      <c r="H39" s="27">
        <f>+H38-H8</f>
        <v>4.8829000000000011E-2</v>
      </c>
      <c r="I39" s="27">
        <f>+I38-I8</f>
        <v>5.3267999999999982E-2</v>
      </c>
      <c r="J39" s="6"/>
      <c r="K39" s="28">
        <f>K38-E8</f>
        <v>4.5141849879532958E-2</v>
      </c>
      <c r="L39" s="7"/>
      <c r="M39" s="1"/>
      <c r="N39" s="1"/>
      <c r="O39" s="1"/>
      <c r="P39" s="1"/>
      <c r="Q39" s="1"/>
    </row>
    <row r="40" spans="1:17" ht="18.75" customHeight="1" x14ac:dyDescent="0.3">
      <c r="A40" s="1"/>
      <c r="B40" s="4"/>
      <c r="C40" s="15" t="s">
        <v>37</v>
      </c>
      <c r="D40" s="15"/>
      <c r="E40" s="23">
        <f>+(E18*E38)-(E18*E8)</f>
        <v>710240</v>
      </c>
      <c r="F40" s="23">
        <f t="shared" ref="F40:I40" si="11">+(F18*F38)-(F18*F8)</f>
        <v>838971</v>
      </c>
      <c r="G40" s="23">
        <f t="shared" si="11"/>
        <v>1002104.25</v>
      </c>
      <c r="H40" s="23">
        <f t="shared" si="11"/>
        <v>1212546.1425000001</v>
      </c>
      <c r="I40" s="23">
        <f t="shared" si="11"/>
        <v>1488124.8112499993</v>
      </c>
      <c r="J40" s="6"/>
      <c r="K40" s="24">
        <f>SUM(E40:I40)</f>
        <v>5251986.2037499994</v>
      </c>
      <c r="L40" s="7"/>
      <c r="M40" s="1"/>
      <c r="N40" s="1"/>
      <c r="O40" s="1"/>
      <c r="P40" s="1"/>
      <c r="Q40" s="1"/>
    </row>
    <row r="41" spans="1:17" ht="18.75" customHeight="1" x14ac:dyDescent="0.3">
      <c r="A41" s="1"/>
      <c r="B41" s="4"/>
      <c r="C41" s="15" t="s">
        <v>11</v>
      </c>
      <c r="D41" s="15"/>
      <c r="E41" s="27">
        <f>(E18-E20+E26-E22+E27)/E18</f>
        <v>0.19273199999999999</v>
      </c>
      <c r="F41" s="27">
        <f t="shared" ref="F41:K41" si="12">(F18-F20+F26-F22+F27)/F18</f>
        <v>0.201603</v>
      </c>
      <c r="G41" s="27">
        <f t="shared" si="12"/>
        <v>0.21047399999999999</v>
      </c>
      <c r="H41" s="27">
        <f t="shared" si="12"/>
        <v>0.21934500000000001</v>
      </c>
      <c r="I41" s="27">
        <f t="shared" si="12"/>
        <v>0.22821599999999997</v>
      </c>
      <c r="J41" s="6"/>
      <c r="K41" s="28">
        <f t="shared" si="12"/>
        <v>0.21197651414312615</v>
      </c>
      <c r="L41" s="7"/>
      <c r="M41" s="1"/>
      <c r="N41" s="1"/>
      <c r="O41" s="1"/>
      <c r="P41" s="1"/>
      <c r="Q41" s="1"/>
    </row>
    <row r="42" spans="1:17" ht="18.75" customHeight="1" x14ac:dyDescent="0.3">
      <c r="A42" s="1"/>
      <c r="B42" s="4"/>
      <c r="C42" s="15" t="s">
        <v>10</v>
      </c>
      <c r="D42" s="15"/>
      <c r="E42" s="27">
        <f>+E41-E9</f>
        <v>7.9831999999999986E-2</v>
      </c>
      <c r="F42" s="27">
        <f t="shared" ref="F42:I42" si="13">+F41-F9</f>
        <v>8.8703000000000004E-2</v>
      </c>
      <c r="G42" s="27">
        <f t="shared" si="13"/>
        <v>9.7573999999999994E-2</v>
      </c>
      <c r="H42" s="27">
        <f t="shared" si="13"/>
        <v>0.10644500000000001</v>
      </c>
      <c r="I42" s="27">
        <f t="shared" si="13"/>
        <v>0.11531599999999997</v>
      </c>
      <c r="J42" s="6"/>
      <c r="K42" s="28">
        <f>+K41-E9</f>
        <v>9.9076514143126154E-2</v>
      </c>
      <c r="L42" s="7"/>
      <c r="M42" s="1"/>
      <c r="N42" s="1"/>
      <c r="O42" s="1"/>
      <c r="P42" s="1"/>
      <c r="Q42" s="1"/>
    </row>
    <row r="43" spans="1:17" ht="18.75" customHeight="1" x14ac:dyDescent="0.3">
      <c r="A43" s="1"/>
      <c r="B43" s="4"/>
      <c r="C43" s="15" t="s">
        <v>13</v>
      </c>
      <c r="D43" s="15"/>
      <c r="E43" s="23">
        <f>+(E18*E41)-(E18*E9)</f>
        <v>1596639.9999999995</v>
      </c>
      <c r="F43" s="23">
        <f t="shared" ref="F43:I43" si="14">+(F18*F41)-(F18*F9)</f>
        <v>1862763</v>
      </c>
      <c r="G43" s="23">
        <f t="shared" si="14"/>
        <v>2202733.0499999998</v>
      </c>
      <c r="H43" s="23">
        <f t="shared" si="14"/>
        <v>2643295.4625000004</v>
      </c>
      <c r="I43" s="23">
        <f t="shared" si="14"/>
        <v>3221532.6412499994</v>
      </c>
      <c r="J43" s="6"/>
      <c r="K43" s="24">
        <f>SUM(E43:I43)</f>
        <v>11526964.153749999</v>
      </c>
      <c r="L43" s="7"/>
      <c r="M43" s="1"/>
      <c r="N43" s="1"/>
      <c r="O43" s="1"/>
      <c r="P43" s="1"/>
      <c r="Q43" s="1"/>
    </row>
    <row r="44" spans="1:17" ht="18.75" customHeight="1" x14ac:dyDescent="0.3">
      <c r="A44" s="1"/>
      <c r="B44" s="4"/>
      <c r="C44" s="5"/>
      <c r="D44" s="5"/>
      <c r="E44" s="21"/>
      <c r="F44" s="6"/>
      <c r="G44" s="6"/>
      <c r="H44" s="6"/>
      <c r="I44" s="6"/>
      <c r="J44" s="6"/>
      <c r="K44" s="6"/>
      <c r="L44" s="7"/>
      <c r="M44" s="1"/>
      <c r="N44" s="1"/>
      <c r="O44" s="1"/>
      <c r="P44" s="1"/>
      <c r="Q44" s="1"/>
    </row>
    <row r="45" spans="1:17" ht="18.75" customHeight="1" x14ac:dyDescent="0.3">
      <c r="A45" s="1"/>
      <c r="B45" s="4"/>
      <c r="C45" s="46" t="s">
        <v>38</v>
      </c>
      <c r="D45" s="47">
        <v>4</v>
      </c>
      <c r="E45" s="10" t="s">
        <v>0</v>
      </c>
      <c r="F45" s="10" t="s">
        <v>1</v>
      </c>
      <c r="G45" s="10" t="s">
        <v>2</v>
      </c>
      <c r="H45" s="10" t="s">
        <v>3</v>
      </c>
      <c r="I45" s="10" t="s">
        <v>4</v>
      </c>
      <c r="J45" s="6"/>
      <c r="K45" s="10" t="s">
        <v>5</v>
      </c>
      <c r="L45" s="7"/>
      <c r="M45" s="1"/>
      <c r="N45" s="1"/>
      <c r="O45" s="1"/>
      <c r="P45" s="1"/>
      <c r="Q45" s="1"/>
    </row>
    <row r="46" spans="1:17" ht="18.75" customHeight="1" x14ac:dyDescent="0.3">
      <c r="A46" s="1"/>
      <c r="B46" s="4"/>
      <c r="C46" s="60" t="s">
        <v>39</v>
      </c>
      <c r="D46" s="60"/>
      <c r="E46" s="48">
        <v>0</v>
      </c>
      <c r="F46" s="23">
        <f>+E24/D45</f>
        <v>375000</v>
      </c>
      <c r="G46" s="23">
        <f>(E24/D45)+(F24/D45)</f>
        <v>900000</v>
      </c>
      <c r="H46" s="23">
        <f>(E24/D45)+(F24/D45)+(G24/D45)</f>
        <v>1323281.25</v>
      </c>
      <c r="I46" s="23">
        <f>(E24/D45)+(F24/D45)+(G24/D45)+(H24/D45)</f>
        <v>1633687.5</v>
      </c>
      <c r="J46" s="6"/>
      <c r="K46" s="24">
        <f>SUM(E46:I46)</f>
        <v>4231968.75</v>
      </c>
      <c r="L46" s="7"/>
      <c r="M46" s="1"/>
      <c r="N46" s="1"/>
      <c r="O46" s="1"/>
      <c r="P46" s="1"/>
      <c r="Q46" s="1"/>
    </row>
    <row r="47" spans="1:17" ht="18.75" customHeight="1" x14ac:dyDescent="0.3">
      <c r="A47" s="1"/>
      <c r="B47" s="4"/>
      <c r="C47" s="6" t="s">
        <v>40</v>
      </c>
      <c r="D47" s="5"/>
      <c r="E47" s="23">
        <f>+E18-E20-E22+E26+E27-E46</f>
        <v>3854640</v>
      </c>
      <c r="F47" s="23">
        <f t="shared" ref="F47:I47" si="15">+F18-F20-F22+F26+F27-F46</f>
        <v>3858663</v>
      </c>
      <c r="G47" s="23">
        <f t="shared" si="15"/>
        <v>3851450.55</v>
      </c>
      <c r="H47" s="23">
        <f t="shared" si="15"/>
        <v>4123603.4625000004</v>
      </c>
      <c r="I47" s="23">
        <f t="shared" si="15"/>
        <v>4741883.0474999994</v>
      </c>
      <c r="J47" s="6"/>
      <c r="K47" s="24">
        <f>SUM(E47:J47)</f>
        <v>20430240.060000002</v>
      </c>
      <c r="L47" s="7"/>
      <c r="M47" s="1"/>
      <c r="N47" s="1"/>
      <c r="O47" s="1"/>
      <c r="P47" s="1"/>
      <c r="Q47" s="1"/>
    </row>
    <row r="48" spans="1:17" ht="18.75" customHeight="1" x14ac:dyDescent="0.3">
      <c r="A48" s="1"/>
      <c r="B48" s="4"/>
      <c r="C48" s="6" t="s">
        <v>41</v>
      </c>
      <c r="D48" s="5"/>
      <c r="E48" s="27">
        <f>+E47/E18</f>
        <v>0.19273199999999999</v>
      </c>
      <c r="F48" s="27">
        <f t="shared" ref="F48:K48" si="16">+F47/F18</f>
        <v>0.18374585714285716</v>
      </c>
      <c r="G48" s="27">
        <f t="shared" si="16"/>
        <v>0.17060689036544849</v>
      </c>
      <c r="H48" s="27">
        <f t="shared" si="16"/>
        <v>0.1660567185140441</v>
      </c>
      <c r="I48" s="27">
        <f t="shared" si="16"/>
        <v>0.16973752756803917</v>
      </c>
      <c r="J48" s="6"/>
      <c r="K48" s="28">
        <f t="shared" si="16"/>
        <v>0.1756019140211818</v>
      </c>
      <c r="L48" s="7"/>
      <c r="M48" s="1"/>
      <c r="N48" s="1"/>
      <c r="O48" s="1"/>
      <c r="P48" s="1"/>
      <c r="Q48" s="1"/>
    </row>
    <row r="49" spans="1:17" ht="18.75" customHeight="1" x14ac:dyDescent="0.3">
      <c r="A49" s="1"/>
      <c r="B49" s="4"/>
      <c r="C49" s="11" t="s">
        <v>42</v>
      </c>
      <c r="D49" s="5"/>
      <c r="E49" s="50">
        <f>+E48-E9</f>
        <v>7.9831999999999986E-2</v>
      </c>
      <c r="F49" s="50">
        <f t="shared" ref="F49:I49" si="17">+F48-F9</f>
        <v>7.0845857142857155E-2</v>
      </c>
      <c r="G49" s="50">
        <f t="shared" si="17"/>
        <v>5.7706890365448488E-2</v>
      </c>
      <c r="H49" s="50">
        <f t="shared" si="17"/>
        <v>5.3156718514044105E-2</v>
      </c>
      <c r="I49" s="50">
        <f t="shared" si="17"/>
        <v>5.683752756803917E-2</v>
      </c>
      <c r="J49" s="6"/>
      <c r="K49" s="49">
        <f>+K48-AVERAGE(E9:I9)</f>
        <v>6.2701914021181804E-2</v>
      </c>
      <c r="L49" s="7"/>
      <c r="M49" s="1"/>
      <c r="N49" s="1"/>
      <c r="O49" s="1"/>
      <c r="P49" s="1"/>
      <c r="Q49" s="1"/>
    </row>
    <row r="50" spans="1:17" ht="18.75" customHeight="1" x14ac:dyDescent="0.3">
      <c r="A50" s="1"/>
      <c r="B50" s="4"/>
      <c r="C50" s="5"/>
      <c r="D50" s="5"/>
      <c r="E50" s="21"/>
      <c r="F50" s="6"/>
      <c r="G50" s="6"/>
      <c r="H50" s="6"/>
      <c r="I50" s="6"/>
      <c r="J50" s="6"/>
      <c r="K50" s="6"/>
      <c r="L50" s="7"/>
      <c r="M50" s="1"/>
      <c r="N50" s="1"/>
      <c r="O50" s="1"/>
      <c r="P50" s="1"/>
      <c r="Q50" s="1"/>
    </row>
    <row r="51" spans="1:17" ht="18.75" customHeight="1" x14ac:dyDescent="0.3">
      <c r="A51" s="1"/>
      <c r="B51" s="32"/>
      <c r="C51" s="33"/>
      <c r="D51" s="33"/>
      <c r="E51" s="34"/>
      <c r="F51" s="34"/>
      <c r="G51" s="34"/>
      <c r="H51" s="34"/>
      <c r="I51" s="34"/>
      <c r="J51" s="34"/>
      <c r="K51" s="34"/>
      <c r="L51" s="35"/>
      <c r="M51" s="1"/>
      <c r="N51" s="1"/>
      <c r="O51" s="1"/>
      <c r="P51" s="1"/>
      <c r="Q51" s="1"/>
    </row>
    <row r="52" spans="1:17" ht="18.75" customHeight="1" x14ac:dyDescent="0.3">
      <c r="A52" s="1"/>
      <c r="B52" s="1"/>
      <c r="C52" s="2"/>
      <c r="D52" s="2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ht="18.75" customHeight="1" x14ac:dyDescent="0.3">
      <c r="A53" s="1"/>
      <c r="B53" s="1"/>
      <c r="C53" s="2"/>
      <c r="D53" s="2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5" spans="1:17" ht="18.75" customHeight="1" x14ac:dyDescent="0.3">
      <c r="E55" s="41"/>
      <c r="F55" s="41"/>
      <c r="G55" s="41"/>
      <c r="H55" s="41"/>
      <c r="I55" s="41"/>
      <c r="J55" s="41"/>
      <c r="K55" s="41"/>
      <c r="L55" s="41"/>
      <c r="M55" s="41"/>
    </row>
    <row r="56" spans="1:17" ht="18.75" customHeight="1" x14ac:dyDescent="0.3">
      <c r="E56" s="41"/>
      <c r="F56" s="41"/>
      <c r="G56" s="41"/>
      <c r="H56" s="41"/>
      <c r="I56" s="41"/>
      <c r="J56" s="41"/>
      <c r="K56" s="41"/>
      <c r="L56" s="41"/>
      <c r="M56" s="41"/>
    </row>
    <row r="57" spans="1:17" ht="18.75" customHeight="1" x14ac:dyDescent="0.3">
      <c r="E57" s="42"/>
      <c r="F57" s="42"/>
      <c r="G57" s="42"/>
      <c r="H57" s="42"/>
      <c r="I57" s="42"/>
      <c r="J57" s="42"/>
      <c r="K57" s="42"/>
    </row>
    <row r="58" spans="1:17" ht="18.75" customHeight="1" x14ac:dyDescent="0.3">
      <c r="E58" s="43"/>
      <c r="F58" s="43"/>
      <c r="G58" s="43"/>
      <c r="H58" s="43"/>
      <c r="I58" s="43"/>
      <c r="J58" s="43"/>
      <c r="K58" s="43"/>
    </row>
    <row r="59" spans="1:17" ht="18.75" customHeight="1" x14ac:dyDescent="0.3">
      <c r="E59" s="42"/>
      <c r="F59" s="42"/>
      <c r="G59" s="42"/>
      <c r="H59" s="42"/>
      <c r="I59" s="42"/>
      <c r="J59" s="42"/>
      <c r="K59" s="42"/>
    </row>
    <row r="60" spans="1:17" ht="18.75" customHeight="1" x14ac:dyDescent="0.3">
      <c r="C60" s="44"/>
      <c r="D60" s="44"/>
      <c r="E60" s="45"/>
      <c r="F60" s="45"/>
      <c r="G60" s="45"/>
      <c r="H60" s="45"/>
      <c r="I60" s="45"/>
      <c r="J60" s="45"/>
      <c r="K60" s="45"/>
    </row>
    <row r="61" spans="1:17" ht="13.8" x14ac:dyDescent="0.3">
      <c r="C61" s="44"/>
      <c r="D61" s="44"/>
      <c r="E61" s="44"/>
      <c r="F61" s="44"/>
      <c r="G61" s="44"/>
      <c r="H61" s="44"/>
      <c r="I61" s="44"/>
      <c r="J61" s="44"/>
      <c r="K61" s="44"/>
    </row>
  </sheetData>
  <sheetProtection algorithmName="SHA-512" hashValue="2IlAd1lOweOVIyoiGpu2lJ+ZtmqvorWceJysv0x/ttHwY6YhYGzq3JHk37b+gJIgy8m2OKOXr6P83sQoLi+4Eg==" saltValue="FbQzKTcbtby56psALnMSQg==" spinCount="100000" sheet="1" objects="1" scenarios="1"/>
  <mergeCells count="4">
    <mergeCell ref="E5:I5"/>
    <mergeCell ref="B2:L2"/>
    <mergeCell ref="B3:L3"/>
    <mergeCell ref="C46:D46"/>
  </mergeCells>
  <phoneticPr fontId="2" type="noConversion"/>
  <conditionalFormatting sqref="E30:I31 K30:K31">
    <cfRule type="cellIs" dxfId="17" priority="25" operator="greaterThan">
      <formula>0</formula>
    </cfRule>
    <cfRule type="cellIs" dxfId="16" priority="26" operator="lessThan">
      <formula>0</formula>
    </cfRule>
  </conditionalFormatting>
  <conditionalFormatting sqref="E33:I36 K33:K36">
    <cfRule type="cellIs" dxfId="15" priority="23" operator="greaterThan">
      <formula>0</formula>
    </cfRule>
    <cfRule type="cellIs" dxfId="14" priority="24" operator="lessThan">
      <formula>0</formula>
    </cfRule>
  </conditionalFormatting>
  <conditionalFormatting sqref="E39:I40">
    <cfRule type="cellIs" dxfId="13" priority="19" operator="greaterThan">
      <formula>0</formula>
    </cfRule>
    <cfRule type="cellIs" dxfId="12" priority="20" operator="lessThan">
      <formula>0</formula>
    </cfRule>
  </conditionalFormatting>
  <conditionalFormatting sqref="E42:I43">
    <cfRule type="cellIs" dxfId="11" priority="15" operator="greaterThan">
      <formula>0</formula>
    </cfRule>
    <cfRule type="cellIs" dxfId="10" priority="16" operator="lessThan">
      <formula>0</formula>
    </cfRule>
  </conditionalFormatting>
  <conditionalFormatting sqref="E46:I47 K46:K47">
    <cfRule type="cellIs" dxfId="9" priority="7" operator="greaterThan">
      <formula>0</formula>
    </cfRule>
    <cfRule type="cellIs" dxfId="8" priority="8" operator="lessThan">
      <formula>0</formula>
    </cfRule>
  </conditionalFormatting>
  <conditionalFormatting sqref="E49:I49">
    <cfRule type="cellIs" dxfId="7" priority="3" operator="greaterThan">
      <formula>0</formula>
    </cfRule>
    <cfRule type="cellIs" dxfId="6" priority="4" operator="lessThan">
      <formula>0</formula>
    </cfRule>
  </conditionalFormatting>
  <conditionalFormatting sqref="K39:K40">
    <cfRule type="cellIs" dxfId="5" priority="17" operator="greaterThan">
      <formula>0</formula>
    </cfRule>
    <cfRule type="cellIs" dxfId="4" priority="18" operator="lessThan">
      <formula>0</formula>
    </cfRule>
  </conditionalFormatting>
  <conditionalFormatting sqref="K42:K43">
    <cfRule type="cellIs" dxfId="3" priority="13" operator="greaterThan">
      <formula>0</formula>
    </cfRule>
    <cfRule type="cellIs" dxfId="2" priority="14" operator="lessThan">
      <formula>0</formula>
    </cfRule>
  </conditionalFormatting>
  <conditionalFormatting sqref="K49">
    <cfRule type="cellIs" dxfId="1" priority="1" operator="greaterThan">
      <formula>0</formula>
    </cfRule>
    <cfRule type="cellIs" dxfId="0" priority="2" operator="lessThan">
      <formula>0</formula>
    </cfRule>
  </conditionalFormatting>
  <printOptions horizontalCentered="1" verticalCentered="1"/>
  <pageMargins left="0.70866141732283472" right="0.70866141732283472" top="0.74803149606299213" bottom="0.74803149606299213" header="0.31496062992125984" footer="0.31496062992125984"/>
  <pageSetup scale="3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Simulador Financiero para la IA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Néstor Altuve</dc:creator>
  <cp:keywords/>
  <dc:description/>
  <cp:lastModifiedBy>Néstor Altuve</cp:lastModifiedBy>
  <cp:revision/>
  <cp:lastPrinted>2022-02-11T15:26:12Z</cp:lastPrinted>
  <dcterms:created xsi:type="dcterms:W3CDTF">2016-11-30T16:22:16Z</dcterms:created>
  <dcterms:modified xsi:type="dcterms:W3CDTF">2025-05-20T20:53:29Z</dcterms:modified>
  <cp:category/>
  <cp:contentStatus/>
</cp:coreProperties>
</file>